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6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state="hidden" r:id="rId8"/>
    <sheet name="Item9" sheetId="11" state="hidden" r:id="rId9"/>
    <sheet name="Item10" sheetId="12" state="hidden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27">total!$A$1:$I$12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F17" i="23" l="1"/>
  <c r="F18" i="23"/>
  <c r="F19" i="23"/>
  <c r="F16" i="23"/>
  <c r="F12" i="23"/>
  <c r="F4" i="23"/>
  <c r="F5" i="23"/>
  <c r="F6" i="23"/>
  <c r="F7" i="23"/>
  <c r="F8" i="23"/>
  <c r="F9" i="23"/>
  <c r="F3" i="23"/>
  <c r="D3" i="1" l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4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14" i="8"/>
  <c r="I8" i="8"/>
  <c r="I12" i="8"/>
  <c r="I13" i="8"/>
  <c r="I17" i="8"/>
  <c r="I16" i="8"/>
  <c r="I16" i="9"/>
  <c r="C20" i="10"/>
  <c r="I7" i="9"/>
  <c r="I13" i="9"/>
  <c r="I9" i="9"/>
  <c r="I15" i="9"/>
  <c r="I15" i="7"/>
  <c r="I10" i="9"/>
  <c r="I17" i="7"/>
  <c r="I11" i="9"/>
  <c r="I17" i="9"/>
  <c r="I15" i="6"/>
  <c r="I14" i="6"/>
  <c r="I17" i="6"/>
  <c r="I16" i="6"/>
  <c r="I12" i="6"/>
  <c r="I5" i="6"/>
  <c r="I17" i="5"/>
  <c r="I11" i="5"/>
  <c r="I16" i="5"/>
  <c r="I13" i="5"/>
  <c r="I15" i="5"/>
  <c r="I14" i="5"/>
  <c r="A20" i="4"/>
  <c r="C20" i="4" s="1"/>
  <c r="C20" i="1"/>
  <c r="I5" i="9" l="1"/>
  <c r="I10" i="8"/>
  <c r="I7" i="8"/>
  <c r="I11" i="8"/>
  <c r="I9" i="8"/>
  <c r="I7" i="6"/>
  <c r="I6" i="6"/>
  <c r="I3" i="6"/>
  <c r="I12" i="5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9" l="1"/>
  <c r="H22" i="9" s="1"/>
  <c r="H23" i="9" s="1"/>
  <c r="E20" i="12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H22" i="12"/>
  <c r="H23" i="12" s="1"/>
  <c r="E3" i="12"/>
  <c r="E20" i="5"/>
  <c r="E3" i="5" s="1"/>
  <c r="H5" i="23" s="1"/>
  <c r="I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20" i="7"/>
  <c r="E20" i="4"/>
  <c r="E3" i="4" s="1"/>
  <c r="H4" i="23" s="1"/>
  <c r="I4" i="23" s="1"/>
  <c r="E20" i="17"/>
  <c r="E20" i="1"/>
  <c r="E3" i="9" l="1"/>
  <c r="H9" i="23" s="1"/>
  <c r="I9" i="23" s="1"/>
  <c r="E3" i="6"/>
  <c r="H6" i="23" s="1"/>
  <c r="I6" i="23" s="1"/>
  <c r="E3" i="20"/>
  <c r="E3" i="8"/>
  <c r="H8" i="23" s="1"/>
  <c r="I8" i="23" s="1"/>
  <c r="E3" i="21"/>
  <c r="E3" i="19"/>
  <c r="E3" i="15"/>
  <c r="H22" i="13"/>
  <c r="H23" i="13" s="1"/>
  <c r="E3" i="10"/>
  <c r="H22" i="5"/>
  <c r="H23" i="5" s="1"/>
  <c r="H22" i="4"/>
  <c r="H23" i="4" s="1"/>
  <c r="E3" i="11"/>
  <c r="H22" i="7"/>
  <c r="H23" i="7" s="1"/>
  <c r="E3" i="7"/>
  <c r="H7" i="23" s="1"/>
  <c r="I7" i="23" s="1"/>
  <c r="H22" i="17"/>
  <c r="H23" i="17" s="1"/>
  <c r="E3" i="17"/>
  <c r="E3" i="1"/>
  <c r="H3" i="23" s="1"/>
  <c r="I3" i="23" s="1"/>
  <c r="H22" i="1"/>
  <c r="H23" i="1" s="1"/>
</calcChain>
</file>

<file path=xl/sharedStrings.xml><?xml version="1.0" encoding="utf-8"?>
<sst xmlns="http://schemas.openxmlformats.org/spreadsheetml/2006/main" count="872" uniqueCount="155">
  <si>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</si>
  <si>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</si>
  <si>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</si>
  <si>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</si>
  <si>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</si>
  <si>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</si>
  <si>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</si>
  <si>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</si>
  <si>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</si>
  <si>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</si>
  <si>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</si>
  <si>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</si>
  <si>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</si>
  <si>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</si>
  <si>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</si>
  <si>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</si>
  <si>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</si>
  <si>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</si>
  <si>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</si>
  <si>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</si>
  <si>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</si>
  <si>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</si>
  <si>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</si>
  <si>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</si>
  <si>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</si>
  <si>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</si>
  <si>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</si>
  <si>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</si>
  <si>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</si>
  <si>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</si>
  <si>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</si>
  <si>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</si>
  <si>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</si>
  <si>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</si>
  <si>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</si>
  <si>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</si>
  <si>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</si>
  <si>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</si>
  <si>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</si>
  <si>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</si>
  <si>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</si>
  <si>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</si>
  <si>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</si>
  <si>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</si>
  <si>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</si>
  <si>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</si>
  <si>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</si>
  <si>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</si>
  <si>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</si>
  <si>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</si>
  <si>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</si>
  <si>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</si>
  <si>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</si>
  <si>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</si>
  <si>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</si>
  <si>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</si>
  <si>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</si>
  <si>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</si>
  <si>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</si>
  <si>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</si>
  <si>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</si>
  <si>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</si>
  <si>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</si>
  <si>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</si>
  <si>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</si>
  <si>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</si>
  <si>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</si>
  <si>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</si>
  <si>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</si>
  <si>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</si>
  <si>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</si>
  <si>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</si>
  <si>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</si>
  <si>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</si>
  <si>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</si>
  <si>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</si>
  <si>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</si>
  <si>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</si>
  <si>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</si>
  <si>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</si>
  <si>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</si>
  <si>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</si>
  <si>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</si>
  <si>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</si>
  <si>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</si>
  <si>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</si>
  <si>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</si>
  <si>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</si>
  <si>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</si>
  <si>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</si>
  <si>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</si>
  <si>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</si>
  <si>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</si>
  <si>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</si>
  <si>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</si>
  <si>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</si>
  <si>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</si>
  <si>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</si>
  <si>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Dispositivo de Reconhecimento Facial para Controle de Acesso
• Possibilidade de identificação através de biometria facial, com identificação de pelo menos 10.000 faces, com detecção de rosto vivo e também através de cartão de proximidade RFID Mifare.
• Duas câmeras de identificação, sendo uma infravermelha, permitindo identificação em locais de baixa luminosidade.
• Conectividade TCP/IP via porta Ethernet.
• Interfone SIP integrado.
• Alto falante e microfone embutidos.
• Deverá apresentar API´s para integração fornecida pelo próprio fabricante.
• Display LCD colorido touchscreen.
• Garantia de, no mínimo, 12 meses, contado a partir do recebimento definitivo.</t>
  </si>
  <si>
    <t>Dispositivo de Conferência All-in-One com Visão de 360° e Inteligência Artificial
• Múltiplos modos de conferência.
• Detecção facial 360º IA.
• Algoritmo de Detecção de Pessoa Falante com IA (follow the speaker).
• Controle remoto.
• Câmera: 1080p@30fps.
• Oito microfones omnidirecionais com cancelamento de eco e de ruído.
• Dois Alto-falantes de 5W cada, no mínimo.
• Conexão do sistema USB-C. 
• Saída HDMI, Ethernet 10/100 Mbps.
• Entrada 01 USB-A e 01 USB-C, no mínimo.
• Wi-Fi.
• Bluetooth 4.1 ou superior.
• Fonte de alimentação: AC 100-240V.
• Compatibilidade: Windows 10 ou superior.
• Garantia de, no mínimo, 12 meses, contado a partir do recebimento definitivo.</t>
  </si>
  <si>
    <t>Totem de Autoatendimento
• Totem de piso com altura mínima de 155 cm e altura máxima de 170 cm.
• Estrutura em “L” plotada com arte a ser fornecida pelo TRE.
• CPU i5 com no mínimo 8GB de RAM e SSD de 256 Gb.
• Tela de LCD colorida de 20 polegadas ou superior.
• Teclado com trackball.
• Autofalantes de 3W.
• Conexão rede e energia.
• Garantia de, no mínimo, 12 meses, contado a partir do recebimento definitivo.</t>
  </si>
  <si>
    <t>Tablet
• Tela TFT de 8,5 Polegadas, no mínimo com resolução WXGA+ 800x1370 @ 60Hz.
• Processador Octa Core com velocidade mínima de 1.8 GHz.
• Armazenamento de 64 GB, no mínimo.
• Sistema operacional Android 13 ou superior.
• Câmera frontal com resolução de 2.0 MP ou superior
• Câmera traseira com foco automático e resolução de 8.0 MP ou superior
• Conexão Wi-Fi.
• Bateria interna de 5.100mAh, no mínimo.
• Cabo de alimentação e fonte.
• Garantia de, no mínimo, 12 meses, contado a partir do recebimento definitivo.</t>
  </si>
  <si>
    <t>Impressora Térmica de Etiquetas com Ribbon
• Método de impressão: termo-transferência e térmico direto.
• Largura máxima de impressão de 100mm, no mínimo.
• Resolução mínima de impressão a 203dpi.
• Velocidade mínima de impressão de 5,9 polegadas ou 149 milímetros por segundo.
• Interface de comunicação do tipo USB 2.0.
• Deverá vir acompanhada de 10 bobinas de etiquetas, em papel couchê, nas seguintes dimensões: 2,5 centímetros de altura e 6 centímetros de comprimento.
• O equipamento deverá vir acompanhado, também, de 10 rolos de ribbon resinado com compatível com o solicitado.
• Garantia de, no mínimo, 12 meses, contado a partir do recebimento definitivo.</t>
  </si>
  <si>
    <t>HUB
• 8× Portas RJ45 10/100/1000 Mbps
• Fonte de alimentação externa 110/220V (chaveada ou automática)
• Garantia de, no mínimo, 12 meses, contado a partir do recebimento definitivo.</t>
  </si>
  <si>
    <t>Roteador de Rede sem Fio 4G
• Conexão integrada de internet para longo alcance 2G/3G/4G
• Função roteador com antena wireless com velocidade de 100 Mbps
• Protocolos IPV4 e IPV6
• Tensão de alimentação: 110/240VAC
• Garantia de, no mínimo, 12 meses, contado a partir do recebimento definitivo.</t>
  </si>
  <si>
    <t>Desmagnetizador de Dados
• O equipamento deverá garantir o apagamento total e permanente dos dados.
• Abertura mínima da Gaveta: 2.5 cm x 11 cm x 15 cm.
• Tempo do ciclo de eliminação até 120 segundos.
• Tensão 127 V.
• Garantia de, no mínimo, 12 meses, contado a partir do recebimento definitivo.</t>
  </si>
  <si>
    <t>n/a</t>
  </si>
  <si>
    <t>DOUBLE SOLUCOES E TECNOLOGIA LTDA</t>
  </si>
  <si>
    <t>ASAE SERVICOS ELETRICOS LTDA</t>
  </si>
  <si>
    <t>COLBAN SEGURANCA ELETRONICA LTDA</t>
  </si>
  <si>
    <t>ANAX BRASIL COMERCIO E SERVICOS LTDA</t>
  </si>
  <si>
    <t>PHSUL TELEINFORMATICA LTDA</t>
  </si>
  <si>
    <t>MIX SOLUCOES INTEGRADAS LTDA</t>
  </si>
  <si>
    <t>WECOM COMERCIO DISTRIBUICAO E SERVICOS EM TECNOLOGIA DA INFORMACAO S.A.</t>
  </si>
  <si>
    <t>AMPLIE ASSESSORIA EM LICITACOES LTDA</t>
  </si>
  <si>
    <t>SUNGRID INDUSTRIA COMERCIO DISTRIBUIDORA E SERVICOS LTDA</t>
  </si>
  <si>
    <t>D.W.L. COMÉRCIO E SERVIÇOS DE INFORMÁTICA LTDA</t>
  </si>
  <si>
    <t>CORMED WINNER LTDA</t>
  </si>
  <si>
    <t>MARVI PROJETOS ELETRONICOS LTDA</t>
  </si>
  <si>
    <t>TECNOGOV COMERCIAL LTDA</t>
  </si>
  <si>
    <t>B2G COMERCIO DE PRODUTOS E EQUIPAMENTOS LIMITADA</t>
  </si>
  <si>
    <t>N F DA SILVA LAMAR COMERCIO</t>
  </si>
  <si>
    <t>RIBEIRO APOIO ADMINISTRATIVO E COMERCIO LTDA</t>
  </si>
  <si>
    <t>SIERDOVSKI &amp; SIERDOVSKI LTDA</t>
  </si>
  <si>
    <t>IMPLY TECNOLOGIA ELETRONICA LTDA</t>
  </si>
  <si>
    <t>SCHALTER ELETRONICA LTDA</t>
  </si>
  <si>
    <t>VANGUARDA INFORMATICA LTDA</t>
  </si>
  <si>
    <t>SYNERGO NEGOCIOS LTDA</t>
  </si>
  <si>
    <t>EUNICE DE OLIVEIRA RODRIGUES DOS SANTOS</t>
  </si>
  <si>
    <t>DETECH TECNOLOGIA E COMERCIO LTDA</t>
  </si>
  <si>
    <t>MICROTECNICA INFORMATICA LTDA</t>
  </si>
  <si>
    <t>COMPMINAS COMERCIO DE INFORMATICA LTDA</t>
  </si>
  <si>
    <t>PEDROSO NEGOCIOS GOVERNAMENTAIS PRODUTOS E SERVICOS LTDA</t>
  </si>
  <si>
    <t>46.102.988 JOAO ROBERTO CUNHA NETO</t>
  </si>
  <si>
    <t>LAGO COMERCIO E SERVICOS LTDA</t>
  </si>
  <si>
    <t>BOREAL BRASIL TECNOLOGIA LTDA</t>
  </si>
  <si>
    <t>30.652.765 THALITA BRITO NAVA ROSA</t>
  </si>
  <si>
    <t>FERNANDO IAGO RODRIGUES DE BARROS 02881030335</t>
  </si>
  <si>
    <t>SECURICAM DISTRIBUIDORA DE PRODUTOS ELETRONICOS LTDA</t>
  </si>
  <si>
    <t>DANIEL PATRICIO DA SILVA CAETANO</t>
  </si>
  <si>
    <t>BACKUP MANUTENCAO E DISTRIBUICAO DE PRODUTOS DE INFORMATICA LTDA</t>
  </si>
  <si>
    <t>LICIPRICE BRASIL LTDA</t>
  </si>
  <si>
    <t>COMPUSET INFORMATICA LTDA</t>
  </si>
  <si>
    <t>E.D. SOLUCOES INTEGRADAS LTDA</t>
  </si>
  <si>
    <t>ALTHVA TECNOLOGIA VENDAS E SERVICOS LTDA</t>
  </si>
  <si>
    <t>T L SOLUCOES TECNOLOGICAS LTDA</t>
  </si>
  <si>
    <t>FORMATO DIGITAL COMERCIO E COMUNICACAO MULTIMIDIA LTDA</t>
  </si>
  <si>
    <t>NAGEM</t>
  </si>
  <si>
    <t>AMAZON</t>
  </si>
  <si>
    <t>INTELBRAS</t>
  </si>
  <si>
    <t>KABUM</t>
  </si>
  <si>
    <t>NEGER TELECOM</t>
  </si>
  <si>
    <t>quantidade TRE-BA</t>
  </si>
  <si>
    <t>quantidade TRE-PI</t>
  </si>
  <si>
    <t>quantidade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</si>
</sst>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;\-#;&quot;-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top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</v>
      </c>
      <c r="B3" s="35" t="s">
        <v>98</v>
      </c>
      <c r="C3" s="37" t="s">
        <v>7</v>
      </c>
      <c r="D3" s="37">
        <f>15+70</f>
        <v>85</v>
      </c>
      <c r="E3" s="38">
        <f>IF(C20&lt;=25%,D20,MIN(E20:F20))</f>
        <v>1503.68</v>
      </c>
      <c r="F3" s="38">
        <f>MIN(H3:H17)</f>
        <v>1279</v>
      </c>
      <c r="G3" s="5" t="s">
        <v>107</v>
      </c>
      <c r="H3" s="16">
        <v>1432.03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108</v>
      </c>
      <c r="H4" s="16">
        <v>1279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109</v>
      </c>
      <c r="H5" s="16">
        <v>1800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267.78757184255954</v>
      </c>
      <c r="B20" s="8">
        <f>COUNT(H3:H17)</f>
        <v>3</v>
      </c>
      <c r="C20" s="9">
        <f>IF(B20&lt;2,"n/a",(A20/D20))</f>
        <v>0.17808813832900586</v>
      </c>
      <c r="D20" s="10">
        <f>IFERROR(ROUND(AVERAGE(H3:H17),2),"")</f>
        <v>1503.68</v>
      </c>
      <c r="E20" s="15" t="str">
        <f>IFERROR(ROUND(IF(B20&lt;2,"n/a",(IF(C20&lt;=25%,"n/a",AVERAGE(I3:I17)))),2),"n/a")</f>
        <v>n/a</v>
      </c>
      <c r="F20" s="10">
        <f>IFERROR(ROUND(MEDIAN(H3:H17),2),"")</f>
        <v>1432.03</v>
      </c>
      <c r="G20" s="11" t="str">
        <f>IFERROR(INDEX(G3:G17,MATCH(H20,H3:H17,0)),"")</f>
        <v>ASAE SERVICOS ELETRICOS LTDA</v>
      </c>
      <c r="H20" s="12">
        <f>F3</f>
        <v>1279</v>
      </c>
    </row>
    <row r="22" spans="1:9" x14ac:dyDescent="0.25">
      <c r="G22" s="13" t="s">
        <v>20</v>
      </c>
      <c r="H22" s="14">
        <f>IF(C20&lt;=25%,D20,MIN(E20:F20))</f>
        <v>1503.68</v>
      </c>
    </row>
    <row r="23" spans="1:9" x14ac:dyDescent="0.25">
      <c r="G23" s="13" t="s">
        <v>6</v>
      </c>
      <c r="H23" s="14">
        <f>ROUND(H22,2)*D3</f>
        <v>127812.8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10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11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12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15</v>
      </c>
      <c r="B3" s="35" t="s">
        <v>92</v>
      </c>
      <c r="C3" s="37" t="s">
        <v>7</v>
      </c>
      <c r="D3" s="37"/>
      <c r="E3" s="38">
        <f>IF(C20&lt;=25%,D20,MIN(E20:F20))</f>
        <v>4065.18</v>
      </c>
      <c r="F3" s="38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9"/>
      <c r="B4" s="36"/>
      <c r="C4" s="37"/>
      <c r="D4" s="37"/>
      <c r="E4" s="38"/>
      <c r="F4" s="38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9"/>
      <c r="B5" s="36"/>
      <c r="C5" s="37"/>
      <c r="D5" s="37"/>
      <c r="E5" s="38"/>
      <c r="F5" s="38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9"/>
      <c r="B6" s="36"/>
      <c r="C6" s="37"/>
      <c r="D6" s="37"/>
      <c r="E6" s="38"/>
      <c r="F6" s="38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9"/>
      <c r="B7" s="36"/>
      <c r="C7" s="37"/>
      <c r="D7" s="37"/>
      <c r="E7" s="38"/>
      <c r="F7" s="38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16</v>
      </c>
      <c r="B3" s="35" t="s">
        <v>55</v>
      </c>
      <c r="C3" s="37" t="s">
        <v>7</v>
      </c>
      <c r="D3" s="37">
        <v>1000</v>
      </c>
      <c r="E3" s="38">
        <f>IF(C20&lt;=25%,D20,MIN(E20:F20))</f>
        <v>4.68</v>
      </c>
      <c r="F3" s="38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9"/>
      <c r="B4" s="36"/>
      <c r="C4" s="37"/>
      <c r="D4" s="37"/>
      <c r="E4" s="38"/>
      <c r="F4" s="38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9"/>
      <c r="B5" s="36"/>
      <c r="C5" s="37"/>
      <c r="D5" s="37"/>
      <c r="E5" s="38"/>
      <c r="F5" s="38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9"/>
      <c r="B6" s="36"/>
      <c r="C6" s="37"/>
      <c r="D6" s="37"/>
      <c r="E6" s="38"/>
      <c r="F6" s="38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17</v>
      </c>
      <c r="B3" s="35" t="s">
        <v>56</v>
      </c>
      <c r="C3" s="37" t="s">
        <v>57</v>
      </c>
      <c r="D3" s="37">
        <v>100</v>
      </c>
      <c r="E3" s="38">
        <f>IF(C20&lt;=25%,D20,MIN(E20:F20))</f>
        <v>112.83</v>
      </c>
      <c r="F3" s="38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9"/>
      <c r="B4" s="36"/>
      <c r="C4" s="37"/>
      <c r="D4" s="37"/>
      <c r="E4" s="38"/>
      <c r="F4" s="38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9"/>
      <c r="B5" s="36"/>
      <c r="C5" s="37"/>
      <c r="D5" s="37"/>
      <c r="E5" s="38"/>
      <c r="F5" s="38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18</v>
      </c>
      <c r="B3" s="35" t="s">
        <v>58</v>
      </c>
      <c r="C3" s="37" t="s">
        <v>59</v>
      </c>
      <c r="D3" s="37">
        <v>100</v>
      </c>
      <c r="E3" s="38">
        <f>IF(C20&lt;=25%,D20,MIN(E20:F20))</f>
        <v>83.03</v>
      </c>
      <c r="F3" s="38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9"/>
      <c r="B4" s="36"/>
      <c r="C4" s="37"/>
      <c r="D4" s="37"/>
      <c r="E4" s="38"/>
      <c r="F4" s="38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9"/>
      <c r="B5" s="36"/>
      <c r="C5" s="37"/>
      <c r="D5" s="37"/>
      <c r="E5" s="38"/>
      <c r="F5" s="38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9"/>
      <c r="B6" s="36"/>
      <c r="C6" s="37"/>
      <c r="D6" s="37"/>
      <c r="E6" s="38"/>
      <c r="F6" s="38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9"/>
      <c r="B7" s="36"/>
      <c r="C7" s="37"/>
      <c r="D7" s="37"/>
      <c r="E7" s="38"/>
      <c r="F7" s="38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19</v>
      </c>
      <c r="B3" s="35" t="s">
        <v>61</v>
      </c>
      <c r="C3" s="37" t="s">
        <v>7</v>
      </c>
      <c r="D3" s="37">
        <v>50</v>
      </c>
      <c r="E3" s="38">
        <f>IF(C20&lt;=25%,D20,MIN(E20:F20))</f>
        <v>68.7</v>
      </c>
      <c r="F3" s="38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</v>
      </c>
      <c r="B3" s="35" t="s">
        <v>99</v>
      </c>
      <c r="C3" s="37" t="s">
        <v>7</v>
      </c>
      <c r="D3" s="37">
        <v>6</v>
      </c>
      <c r="E3" s="38">
        <f>IF(C20&lt;=25%,D20,MIN(E20:F20))</f>
        <v>8309.25</v>
      </c>
      <c r="F3" s="38">
        <f>MIN(H3:H17)</f>
        <v>7051.28</v>
      </c>
      <c r="G3" s="5" t="s">
        <v>110</v>
      </c>
      <c r="H3" s="16">
        <v>7051.28</v>
      </c>
      <c r="I3" s="17" t="str">
        <f>IF(H3="","",(IF($C$20&lt;25%,"n/a",IF(H3&lt;=($D$20+$A$20),H3,"Descartado"))))</f>
        <v>n/a</v>
      </c>
    </row>
    <row r="4" spans="1:9" x14ac:dyDescent="0.25">
      <c r="A4" s="39"/>
      <c r="B4" s="36"/>
      <c r="C4" s="37"/>
      <c r="D4" s="37"/>
      <c r="E4" s="38"/>
      <c r="F4" s="38"/>
      <c r="G4" s="5" t="s">
        <v>111</v>
      </c>
      <c r="H4" s="16">
        <v>12000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9"/>
      <c r="B5" s="36"/>
      <c r="C5" s="37"/>
      <c r="D5" s="37"/>
      <c r="E5" s="38"/>
      <c r="F5" s="38"/>
      <c r="G5" s="5" t="s">
        <v>112</v>
      </c>
      <c r="H5" s="16">
        <v>7700</v>
      </c>
      <c r="I5" s="17" t="str">
        <f t="shared" si="0"/>
        <v>n/a</v>
      </c>
    </row>
    <row r="6" spans="1:9" x14ac:dyDescent="0.25">
      <c r="A6" s="39"/>
      <c r="B6" s="36"/>
      <c r="C6" s="37"/>
      <c r="D6" s="37"/>
      <c r="E6" s="38"/>
      <c r="F6" s="38"/>
      <c r="G6" s="5" t="s">
        <v>113</v>
      </c>
      <c r="H6" s="16">
        <v>7770</v>
      </c>
      <c r="I6" s="17" t="str">
        <f t="shared" si="0"/>
        <v>n/a</v>
      </c>
    </row>
    <row r="7" spans="1:9" x14ac:dyDescent="0.25">
      <c r="A7" s="39"/>
      <c r="B7" s="36"/>
      <c r="C7" s="37"/>
      <c r="D7" s="37"/>
      <c r="E7" s="38"/>
      <c r="F7" s="38"/>
      <c r="G7" s="5" t="s">
        <v>114</v>
      </c>
      <c r="H7" s="16">
        <v>7934.2</v>
      </c>
      <c r="I7" s="17" t="str">
        <f t="shared" si="0"/>
        <v>n/a</v>
      </c>
    </row>
    <row r="8" spans="1:9" x14ac:dyDescent="0.25">
      <c r="A8" s="39"/>
      <c r="B8" s="36"/>
      <c r="C8" s="37"/>
      <c r="D8" s="37"/>
      <c r="E8" s="38"/>
      <c r="F8" s="38"/>
      <c r="G8" s="5" t="s">
        <v>115</v>
      </c>
      <c r="H8" s="16">
        <v>7400</v>
      </c>
      <c r="I8" s="17" t="str">
        <f t="shared" si="0"/>
        <v>n/a</v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1834.8568485488622</v>
      </c>
      <c r="B20" s="8">
        <f>COUNT(H3:H17)</f>
        <v>6</v>
      </c>
      <c r="C20" s="9">
        <f>IF(B20&lt;2,"n/a",(A20/D20))</f>
        <v>0.22082099449996836</v>
      </c>
      <c r="D20" s="10">
        <f>IFERROR(ROUND(AVERAGE(H3:H17),2),"")</f>
        <v>8309.25</v>
      </c>
      <c r="E20" s="15" t="str">
        <f>IFERROR(ROUND(IF(B20&lt;2,"n/a",(IF(C20&lt;=25%,"n/a",AVERAGE(I3:I17)))),2),"n/a")</f>
        <v>n/a</v>
      </c>
      <c r="F20" s="10">
        <f>IFERROR(ROUND(MEDIAN(H3:H17),2),"")</f>
        <v>7735</v>
      </c>
      <c r="G20" s="11" t="str">
        <f>IFERROR(INDEX(G3:G17,MATCH(H20,H3:H17,0)),"")</f>
        <v>ANAX BRASIL COMERCIO E SERVICOS LTDA</v>
      </c>
      <c r="H20" s="12">
        <f>F3</f>
        <v>7051.28</v>
      </c>
    </row>
    <row r="22" spans="1:9" x14ac:dyDescent="0.25">
      <c r="G22" s="13" t="s">
        <v>20</v>
      </c>
      <c r="H22" s="14">
        <f>IF(C20&lt;=25%,D20,MIN(E20:F20))</f>
        <v>8309.25</v>
      </c>
    </row>
    <row r="23" spans="1:9" x14ac:dyDescent="0.25">
      <c r="G23" s="13" t="s">
        <v>6</v>
      </c>
      <c r="H23" s="14">
        <f>ROUND(H22,2)*D3</f>
        <v>49855.5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20</v>
      </c>
      <c r="B3" s="35" t="s">
        <v>62</v>
      </c>
      <c r="C3" s="37" t="s">
        <v>60</v>
      </c>
      <c r="D3" s="37">
        <v>50</v>
      </c>
      <c r="E3" s="38">
        <f>IF(C20&lt;=25%,D20,MIN(E20:F20))</f>
        <v>169.47</v>
      </c>
      <c r="F3" s="38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9"/>
      <c r="B4" s="36"/>
      <c r="C4" s="37"/>
      <c r="D4" s="37"/>
      <c r="E4" s="38"/>
      <c r="F4" s="38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9"/>
      <c r="B5" s="36"/>
      <c r="C5" s="37"/>
      <c r="D5" s="37"/>
      <c r="E5" s="38"/>
      <c r="F5" s="38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9"/>
      <c r="B6" s="36"/>
      <c r="C6" s="37"/>
      <c r="D6" s="37"/>
      <c r="E6" s="38"/>
      <c r="F6" s="38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21</v>
      </c>
      <c r="B3" s="35" t="s">
        <v>63</v>
      </c>
      <c r="C3" s="37" t="s">
        <v>60</v>
      </c>
      <c r="D3" s="37">
        <v>50</v>
      </c>
      <c r="E3" s="38">
        <f>IF(C20&lt;=25%,D20,MIN(E20:F20))</f>
        <v>203.92</v>
      </c>
      <c r="F3" s="38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9"/>
      <c r="B4" s="36"/>
      <c r="C4" s="37"/>
      <c r="D4" s="37"/>
      <c r="E4" s="38"/>
      <c r="F4" s="38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9"/>
      <c r="B5" s="36"/>
      <c r="C5" s="37"/>
      <c r="D5" s="37"/>
      <c r="E5" s="38"/>
      <c r="F5" s="38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9"/>
      <c r="B6" s="36"/>
      <c r="C6" s="37"/>
      <c r="D6" s="37"/>
      <c r="E6" s="38"/>
      <c r="F6" s="38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9"/>
      <c r="B7" s="36"/>
      <c r="C7" s="37"/>
      <c r="D7" s="37"/>
      <c r="E7" s="38"/>
      <c r="F7" s="38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22</v>
      </c>
      <c r="B3" s="35" t="s">
        <v>64</v>
      </c>
      <c r="C3" s="37" t="s">
        <v>57</v>
      </c>
      <c r="D3" s="37">
        <v>100</v>
      </c>
      <c r="E3" s="38">
        <f>IF(C20&lt;=25%,D20,MIN(E20:F20))</f>
        <v>64.989999999999995</v>
      </c>
      <c r="F3" s="38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9"/>
      <c r="B4" s="36"/>
      <c r="C4" s="37"/>
      <c r="D4" s="37"/>
      <c r="E4" s="38"/>
      <c r="F4" s="38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9"/>
      <c r="B5" s="36"/>
      <c r="C5" s="37"/>
      <c r="D5" s="37"/>
      <c r="E5" s="38"/>
      <c r="F5" s="38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9"/>
      <c r="B6" s="36"/>
      <c r="C6" s="37"/>
      <c r="D6" s="37"/>
      <c r="E6" s="38"/>
      <c r="F6" s="38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9"/>
      <c r="B7" s="36"/>
      <c r="C7" s="37"/>
      <c r="D7" s="37"/>
      <c r="E7" s="38"/>
      <c r="F7" s="38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23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24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25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26</v>
      </c>
      <c r="B3" s="35" t="s">
        <v>34</v>
      </c>
      <c r="C3" s="37" t="s">
        <v>7</v>
      </c>
      <c r="D3" s="37">
        <v>4</v>
      </c>
      <c r="E3" s="38">
        <f>IF(C20&lt;=25%,D20,MIN(E20:F20))</f>
        <v>314.5</v>
      </c>
      <c r="F3" s="38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9"/>
      <c r="B4" s="36"/>
      <c r="C4" s="37"/>
      <c r="D4" s="37"/>
      <c r="E4" s="38"/>
      <c r="F4" s="38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9"/>
      <c r="B5" s="36"/>
      <c r="C5" s="37"/>
      <c r="D5" s="37"/>
      <c r="E5" s="38"/>
      <c r="F5" s="38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9"/>
      <c r="B6" s="36"/>
      <c r="C6" s="37"/>
      <c r="D6" s="37"/>
      <c r="E6" s="38"/>
      <c r="F6" s="38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9"/>
      <c r="B7" s="36"/>
      <c r="C7" s="37"/>
      <c r="D7" s="37"/>
      <c r="E7" s="38"/>
      <c r="F7" s="38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9"/>
      <c r="B8" s="36"/>
      <c r="C8" s="37"/>
      <c r="D8" s="37"/>
      <c r="E8" s="38"/>
      <c r="F8" s="38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9"/>
      <c r="B9" s="36"/>
      <c r="C9" s="37"/>
      <c r="D9" s="37"/>
      <c r="E9" s="38"/>
      <c r="F9" s="38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9"/>
      <c r="B10" s="36"/>
      <c r="C10" s="37"/>
      <c r="D10" s="37"/>
      <c r="E10" s="38"/>
      <c r="F10" s="38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9"/>
      <c r="B11" s="36"/>
      <c r="C11" s="37"/>
      <c r="D11" s="37"/>
      <c r="E11" s="38"/>
      <c r="F11" s="38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9"/>
      <c r="B12" s="36"/>
      <c r="C12" s="37"/>
      <c r="D12" s="37"/>
      <c r="E12" s="38"/>
      <c r="F12" s="38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9"/>
      <c r="B13" s="36"/>
      <c r="C13" s="37"/>
      <c r="D13" s="37"/>
      <c r="E13" s="38"/>
      <c r="F13" s="38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9"/>
      <c r="B14" s="36"/>
      <c r="C14" s="37"/>
      <c r="D14" s="37"/>
      <c r="E14" s="38"/>
      <c r="F14" s="38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9">
        <v>27</v>
      </c>
      <c r="B3" s="35" t="s">
        <v>35</v>
      </c>
      <c r="C3" s="37" t="s">
        <v>7</v>
      </c>
      <c r="D3" s="37">
        <v>2</v>
      </c>
      <c r="E3" s="38">
        <f>IF(C20&lt;=25%,D20,MIN(E20:F20))</f>
        <v>2336.66</v>
      </c>
      <c r="F3" s="38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9"/>
      <c r="B4" s="36"/>
      <c r="C4" s="37"/>
      <c r="D4" s="37"/>
      <c r="E4" s="38"/>
      <c r="F4" s="38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9"/>
      <c r="B5" s="36"/>
      <c r="C5" s="37"/>
      <c r="D5" s="37"/>
      <c r="E5" s="38"/>
      <c r="F5" s="38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9"/>
      <c r="B7" s="36"/>
      <c r="C7" s="37"/>
      <c r="D7" s="37"/>
      <c r="E7" s="38"/>
      <c r="F7" s="38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9"/>
      <c r="B8" s="36"/>
      <c r="C8" s="37"/>
      <c r="D8" s="37"/>
      <c r="E8" s="38"/>
      <c r="F8" s="38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9"/>
      <c r="B9" s="36"/>
      <c r="C9" s="37"/>
      <c r="D9" s="37"/>
      <c r="E9" s="38"/>
      <c r="F9" s="38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9"/>
      <c r="B10" s="36"/>
      <c r="C10" s="37"/>
      <c r="D10" s="37"/>
      <c r="E10" s="38"/>
      <c r="F10" s="38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9"/>
      <c r="B11" s="36"/>
      <c r="C11" s="37"/>
      <c r="D11" s="37"/>
      <c r="E11" s="38"/>
      <c r="F11" s="38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BreakPreview" zoomScaleNormal="100" zoomScaleSheetLayoutView="100" workbookViewId="0">
      <selection activeCell="E3" sqref="E3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9" width="15.7109375" style="1" customWidth="1"/>
    <col min="10" max="16384" width="9.140625" style="1"/>
  </cols>
  <sheetData>
    <row r="1" spans="1:9" ht="15.75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</row>
    <row r="2" spans="1:9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154</v>
      </c>
      <c r="F2" s="32" t="s">
        <v>152</v>
      </c>
      <c r="G2" s="32" t="s">
        <v>153</v>
      </c>
      <c r="H2" s="6" t="s">
        <v>5</v>
      </c>
      <c r="I2" s="6" t="s">
        <v>30</v>
      </c>
    </row>
    <row r="3" spans="1:9" ht="345" x14ac:dyDescent="0.25">
      <c r="A3" s="25" t="s">
        <v>106</v>
      </c>
      <c r="B3" s="25">
        <f>Item1!A3</f>
        <v>1</v>
      </c>
      <c r="C3" s="27" t="str">
        <f>Item1!B3</f>
        <v>Dispositivo de Reconhecimento Facial para Controle de Acesso
• Possibilidade de identificação através de biometria facial, com identificação de pelo menos 10.000 faces, com detecção de rosto vivo e também através de cartão de proximidade RFID Mifare.
• Duas câmeras de identificação, sendo uma infravermelha, permitindo identificação em locais de baixa luminosidade.
• Conectividade TCP/IP via porta Ethernet.
• Interfone SIP integrado.
• Alto falante e microfone embutidos.
• Deverá apresentar API´s para integração fornecida pelo próprio fabricante.
• Display LCD colorido touchscreen.
• Garantia de, no mínimo, 12 meses, contado a partir do recebimento definitivo.</v>
      </c>
      <c r="D3" s="25" t="str">
        <f>Item1!C3</f>
        <v>unidade</v>
      </c>
      <c r="E3" s="41">
        <f>Item1!D3</f>
        <v>85</v>
      </c>
      <c r="F3" s="41">
        <f>E3-G3</f>
        <v>15</v>
      </c>
      <c r="G3" s="41">
        <v>70</v>
      </c>
      <c r="H3" s="26">
        <f>Item1!E3</f>
        <v>1503.68</v>
      </c>
      <c r="I3" s="26">
        <f>ROUND((E3*H3),2)</f>
        <v>127812.8</v>
      </c>
    </row>
    <row r="4" spans="1:9" ht="390" x14ac:dyDescent="0.25">
      <c r="A4" s="25" t="s">
        <v>106</v>
      </c>
      <c r="B4" s="25">
        <f>Item2!A3</f>
        <v>2</v>
      </c>
      <c r="C4" s="27" t="str">
        <f>Item2!B3</f>
        <v>Dispositivo de Conferência All-in-One com Visão de 360° e Inteligência Artificial
• Múltiplos modos de conferência.
• Detecção facial 360º IA.
• Algoritmo de Detecção de Pessoa Falante com IA (follow the speaker).
• Controle remoto.
• Câmera: 1080p@30fps.
• Oito microfones omnidirecionais com cancelamento de eco e de ruído.
• Dois Alto-falantes de 5W cada, no mínimo.
• Conexão do sistema USB-C. 
• Saída HDMI, Ethernet 10/100 Mbps.
• Entrada 01 USB-A e 01 USB-C, no mínimo.
• Wi-Fi.
• Bluetooth 4.1 ou superior.
• Fonte de alimentação: AC 100-240V.
• Compatibilidade: Windows 10 ou superior.
• Garantia de, no mínimo, 12 meses, contado a partir do recebimento definitivo.</v>
      </c>
      <c r="D4" s="25" t="str">
        <f>Item2!C3</f>
        <v>unidade</v>
      </c>
      <c r="E4" s="41">
        <f>Item2!D3</f>
        <v>6</v>
      </c>
      <c r="F4" s="41">
        <f t="shared" ref="F4:F9" si="0">E4-G4</f>
        <v>6</v>
      </c>
      <c r="G4" s="41">
        <v>0</v>
      </c>
      <c r="H4" s="26">
        <f>Item2!E3</f>
        <v>8309.25</v>
      </c>
      <c r="I4" s="26">
        <f>ROUND((E4*H4),2)</f>
        <v>49855.5</v>
      </c>
    </row>
    <row r="5" spans="1:9" ht="240" x14ac:dyDescent="0.25">
      <c r="A5" s="25" t="s">
        <v>106</v>
      </c>
      <c r="B5" s="25">
        <f>Item3!A3</f>
        <v>3</v>
      </c>
      <c r="C5" s="27" t="str">
        <f>Item3!B3</f>
        <v>Totem de Autoatendimento
• Totem de piso com altura mínima de 155 cm e altura máxima de 170 cm.
• Estrutura em “L” plotada com arte a ser fornecida pelo TRE.
• CPU i5 com no mínimo 8GB de RAM e SSD de 256 Gb.
• Tela de LCD colorida de 20 polegadas ou superior.
• Teclado com trackball.
• Autofalantes de 3W.
• Conexão rede e energia.
• Garantia de, no mínimo, 12 meses, contado a partir do recebimento definitivo.</v>
      </c>
      <c r="D5" s="25" t="str">
        <f>Item3!C3</f>
        <v>unidade</v>
      </c>
      <c r="E5" s="41">
        <f>Item3!D3</f>
        <v>10</v>
      </c>
      <c r="F5" s="41">
        <f t="shared" si="0"/>
        <v>10</v>
      </c>
      <c r="G5" s="41">
        <v>0</v>
      </c>
      <c r="H5" s="26">
        <f>Item3!E3</f>
        <v>14717.87</v>
      </c>
      <c r="I5" s="26">
        <f>ROUND((E5*H5),2)</f>
        <v>147178.70000000001</v>
      </c>
    </row>
    <row r="6" spans="1:9" ht="315" x14ac:dyDescent="0.25">
      <c r="A6" s="25" t="s">
        <v>106</v>
      </c>
      <c r="B6" s="25">
        <f>Item4!A3</f>
        <v>4</v>
      </c>
      <c r="C6" s="27" t="str">
        <f>Item4!B3</f>
        <v>Tablet
• Tela TFT de 8,5 Polegadas, no mínimo com resolução WXGA+ 800x1370 @ 60Hz.
• Processador Octa Core com velocidade mínima de 1.8 GHz.
• Armazenamento de 64 GB, no mínimo.
• Sistema operacional Android 13 ou superior.
• Câmera frontal com resolução de 2.0 MP ou superior
• Câmera traseira com foco automático e resolução de 8.0 MP ou superior
• Conexão Wi-Fi.
• Bateria interna de 5.100mAh, no mínimo.
• Cabo de alimentação e fonte.
• Garantia de, no mínimo, 12 meses, contado a partir do recebimento definitivo.</v>
      </c>
      <c r="D6" s="25" t="str">
        <f>Item4!C3</f>
        <v>unidade</v>
      </c>
      <c r="E6" s="41">
        <f>Item4!D3</f>
        <v>20</v>
      </c>
      <c r="F6" s="41">
        <f t="shared" si="0"/>
        <v>20</v>
      </c>
      <c r="G6" s="41">
        <v>0</v>
      </c>
      <c r="H6" s="26">
        <f>Item4!E3</f>
        <v>1315</v>
      </c>
      <c r="I6" s="26">
        <f>ROUND((E6*H6),2)</f>
        <v>26300</v>
      </c>
    </row>
    <row r="7" spans="1:9" ht="360" x14ac:dyDescent="0.25">
      <c r="A7" s="25" t="s">
        <v>106</v>
      </c>
      <c r="B7" s="25">
        <f>Item5!A3</f>
        <v>5</v>
      </c>
      <c r="C7" s="27" t="str">
        <f>Item5!B3</f>
        <v>Impressora Térmica de Etiquetas com Ribbon
• Método de impressão: termo-transferência e térmico direto.
• Largura máxima de impressão de 100mm, no mínimo.
• Resolução mínima de impressão a 203dpi.
• Velocidade mínima de impressão de 5,9 polegadas ou 149 milímetros por segundo.
• Interface de comunicação do tipo USB 2.0.
• Deverá vir acompanhada de 10 bobinas de etiquetas, em papel couchê, nas seguintes dimensões: 2,5 centímetros de altura e 6 centímetros de comprimento.
• O equipamento deverá vir acompanhado, também, de 10 rolos de ribbon resinado com compatível com o solicitado.
• Garantia de, no mínimo, 12 meses, contado a partir do recebimento definitivo.</v>
      </c>
      <c r="D7" s="25" t="str">
        <f>Item5!C3</f>
        <v>unidade</v>
      </c>
      <c r="E7" s="41">
        <f>Item5!D3</f>
        <v>4</v>
      </c>
      <c r="F7" s="41">
        <f t="shared" si="0"/>
        <v>4</v>
      </c>
      <c r="G7" s="41">
        <v>0</v>
      </c>
      <c r="H7" s="26">
        <f>Item5!E3</f>
        <v>5852.09</v>
      </c>
      <c r="I7" s="26">
        <f>ROUND((E7*H7),2)</f>
        <v>23408.36</v>
      </c>
    </row>
    <row r="8" spans="1:9" ht="120" x14ac:dyDescent="0.25">
      <c r="A8" s="25" t="s">
        <v>106</v>
      </c>
      <c r="B8" s="25">
        <f>Item6!A3</f>
        <v>6</v>
      </c>
      <c r="C8" s="27" t="str">
        <f>Item6!B3</f>
        <v>HUB
• 8× Portas RJ45 10/100/1000 Mbps
• Fonte de alimentação externa 110/220V (chaveada ou automática)
• Garantia de, no mínimo, 12 meses, contado a partir do recebimento definitivo.</v>
      </c>
      <c r="D8" s="25" t="str">
        <f>Item6!C3</f>
        <v>unidade</v>
      </c>
      <c r="E8" s="41">
        <f>Item6!D3</f>
        <v>20</v>
      </c>
      <c r="F8" s="41">
        <f t="shared" si="0"/>
        <v>20</v>
      </c>
      <c r="G8" s="41">
        <v>0</v>
      </c>
      <c r="H8" s="26">
        <f>Item6!E3</f>
        <v>130</v>
      </c>
      <c r="I8" s="26">
        <f>ROUND((E8*H8),2)</f>
        <v>2600</v>
      </c>
    </row>
    <row r="9" spans="1:9" ht="165" x14ac:dyDescent="0.25">
      <c r="A9" s="25" t="s">
        <v>106</v>
      </c>
      <c r="B9" s="25">
        <f>Item7!A3</f>
        <v>7</v>
      </c>
      <c r="C9" s="27" t="str">
        <f>Item7!B3</f>
        <v>Roteador de Rede sem Fio 4G
• Conexão integrada de internet para longo alcance 2G/3G/4G
• Função roteador com antena wireless com velocidade de 100 Mbps
• Protocolos IPV4 e IPV6
• Tensão de alimentação: 110/240VAC
• Garantia de, no mínimo, 12 meses, contado a partir do recebimento definitivo.</v>
      </c>
      <c r="D9" s="25" t="str">
        <f>Item7!C3</f>
        <v>unidade</v>
      </c>
      <c r="E9" s="41">
        <f>Item7!D3</f>
        <v>20</v>
      </c>
      <c r="F9" s="41">
        <f t="shared" si="0"/>
        <v>20</v>
      </c>
      <c r="G9" s="41">
        <v>0</v>
      </c>
      <c r="H9" s="26">
        <f>Item7!E3</f>
        <v>859.81</v>
      </c>
      <c r="I9" s="26">
        <f>ROUND((E9*H9),2)</f>
        <v>17196.2</v>
      </c>
    </row>
    <row r="10" spans="1:9" x14ac:dyDescent="0.25">
      <c r="A10" s="28"/>
      <c r="B10" s="28"/>
      <c r="C10" s="29"/>
      <c r="D10" s="30"/>
      <c r="E10" s="30"/>
      <c r="F10" s="31"/>
      <c r="G10" s="31"/>
    </row>
    <row r="11" spans="1:9" ht="15.75" thickBot="1" x14ac:dyDescent="0.3"/>
    <row r="12" spans="1:9" ht="16.5" thickTop="1" thickBot="1" x14ac:dyDescent="0.3">
      <c r="D12" s="22"/>
      <c r="E12" s="23" t="s">
        <v>33</v>
      </c>
      <c r="F12" s="24">
        <f>SUM(I:I)</f>
        <v>394351.56</v>
      </c>
    </row>
    <row r="13" spans="1:9" ht="15.75" thickTop="1" x14ac:dyDescent="0.25">
      <c r="F13" s="3"/>
    </row>
    <row r="14" spans="1:9" x14ac:dyDescent="0.25">
      <c r="D14" s="21" t="s">
        <v>32</v>
      </c>
      <c r="E14" s="13">
        <f>MAX(A:A)</f>
        <v>0</v>
      </c>
    </row>
    <row r="16" spans="1:9" x14ac:dyDescent="0.25">
      <c r="D16" s="18" t="s">
        <v>31</v>
      </c>
      <c r="E16" s="19">
        <v>1</v>
      </c>
      <c r="F16" s="20">
        <f>SUMIF(A:A,E16,I:I)</f>
        <v>0</v>
      </c>
    </row>
    <row r="17" spans="4:6" x14ac:dyDescent="0.25">
      <c r="D17" s="18" t="s">
        <v>31</v>
      </c>
      <c r="E17" s="19">
        <v>2</v>
      </c>
      <c r="F17" s="20">
        <f t="shared" ref="F17:F19" si="1">SUMIF(A:A,E17,I:I)</f>
        <v>0</v>
      </c>
    </row>
    <row r="18" spans="4:6" x14ac:dyDescent="0.25">
      <c r="D18" s="18" t="s">
        <v>31</v>
      </c>
      <c r="E18" s="19">
        <v>3</v>
      </c>
      <c r="F18" s="20">
        <f t="shared" si="1"/>
        <v>0</v>
      </c>
    </row>
    <row r="19" spans="4:6" x14ac:dyDescent="0.25">
      <c r="D19" s="18" t="s">
        <v>31</v>
      </c>
      <c r="E19" s="19">
        <v>4</v>
      </c>
      <c r="F19" s="20">
        <f t="shared" si="1"/>
        <v>0</v>
      </c>
    </row>
  </sheetData>
  <mergeCells count="1">
    <mergeCell ref="A1:I1"/>
  </mergeCells>
  <pageMargins left="0.51181102362204722" right="0.51181102362204722" top="1.2598425196850394" bottom="0.78740157480314965" header="0.31496062992125984" footer="0.31496062992125984"/>
  <pageSetup paperSize="9" scale="65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3</v>
      </c>
      <c r="B3" s="35" t="s">
        <v>100</v>
      </c>
      <c r="C3" s="37" t="s">
        <v>7</v>
      </c>
      <c r="D3" s="37">
        <v>10</v>
      </c>
      <c r="E3" s="38">
        <f>IF(C20&lt;=25%,D20,MIN(E20:F20))</f>
        <v>14717.87</v>
      </c>
      <c r="F3" s="38">
        <f>MIN(H3:H17)</f>
        <v>10020</v>
      </c>
      <c r="G3" s="5" t="s">
        <v>116</v>
      </c>
      <c r="H3" s="16">
        <v>10020</v>
      </c>
      <c r="I3" s="17">
        <f>IF(H3="","",(IF($C$20&lt;25%,"n/a",IF(H3&lt;=($D$20+$A$20),H3,"Descartado"))))</f>
        <v>10020</v>
      </c>
    </row>
    <row r="4" spans="1:9" x14ac:dyDescent="0.25">
      <c r="A4" s="39"/>
      <c r="B4" s="36"/>
      <c r="C4" s="37"/>
      <c r="D4" s="37"/>
      <c r="E4" s="38"/>
      <c r="F4" s="38"/>
      <c r="G4" s="5" t="s">
        <v>117</v>
      </c>
      <c r="H4" s="16">
        <v>11000</v>
      </c>
      <c r="I4" s="17">
        <f t="shared" ref="I4:I17" si="0">IF(H4="","",(IF($C$20&lt;25%,"n/a",IF(H4&lt;=($D$20+$A$20),H4,"Descartado"))))</f>
        <v>11000</v>
      </c>
    </row>
    <row r="5" spans="1:9" x14ac:dyDescent="0.25">
      <c r="A5" s="39"/>
      <c r="B5" s="36"/>
      <c r="C5" s="37"/>
      <c r="D5" s="37"/>
      <c r="E5" s="38"/>
      <c r="F5" s="38"/>
      <c r="G5" s="5" t="s">
        <v>118</v>
      </c>
      <c r="H5" s="16">
        <v>30000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119</v>
      </c>
      <c r="H6" s="16">
        <v>29999</v>
      </c>
      <c r="I6" s="17" t="str">
        <f t="shared" si="0"/>
        <v>Descartado</v>
      </c>
    </row>
    <row r="7" spans="1:9" x14ac:dyDescent="0.25">
      <c r="A7" s="39"/>
      <c r="B7" s="36"/>
      <c r="C7" s="37"/>
      <c r="D7" s="37"/>
      <c r="E7" s="38"/>
      <c r="F7" s="38"/>
      <c r="G7" s="5" t="s">
        <v>120</v>
      </c>
      <c r="H7" s="16">
        <v>13367</v>
      </c>
      <c r="I7" s="17">
        <f t="shared" si="0"/>
        <v>13367</v>
      </c>
    </row>
    <row r="8" spans="1:9" x14ac:dyDescent="0.25">
      <c r="A8" s="39"/>
      <c r="B8" s="36"/>
      <c r="C8" s="37"/>
      <c r="D8" s="37"/>
      <c r="E8" s="38"/>
      <c r="F8" s="38"/>
      <c r="G8" s="5" t="s">
        <v>121</v>
      </c>
      <c r="H8" s="16">
        <v>15000</v>
      </c>
      <c r="I8" s="17">
        <f t="shared" si="0"/>
        <v>15000</v>
      </c>
    </row>
    <row r="9" spans="1:9" x14ac:dyDescent="0.25">
      <c r="A9" s="39"/>
      <c r="B9" s="36"/>
      <c r="C9" s="37"/>
      <c r="D9" s="37"/>
      <c r="E9" s="38"/>
      <c r="F9" s="38"/>
      <c r="G9" s="5" t="s">
        <v>122</v>
      </c>
      <c r="H9" s="16">
        <v>14756</v>
      </c>
      <c r="I9" s="17">
        <f t="shared" si="0"/>
        <v>14756</v>
      </c>
    </row>
    <row r="10" spans="1:9" x14ac:dyDescent="0.25">
      <c r="A10" s="39"/>
      <c r="B10" s="36"/>
      <c r="C10" s="37"/>
      <c r="D10" s="37"/>
      <c r="E10" s="38"/>
      <c r="F10" s="38"/>
      <c r="G10" s="5" t="s">
        <v>123</v>
      </c>
      <c r="H10" s="16">
        <v>14800</v>
      </c>
      <c r="I10" s="17">
        <f t="shared" si="0"/>
        <v>14800</v>
      </c>
    </row>
    <row r="11" spans="1:9" x14ac:dyDescent="0.25">
      <c r="A11" s="39"/>
      <c r="B11" s="36"/>
      <c r="C11" s="37"/>
      <c r="D11" s="37"/>
      <c r="E11" s="38"/>
      <c r="F11" s="38"/>
      <c r="G11" s="5" t="s">
        <v>124</v>
      </c>
      <c r="H11" s="16">
        <v>23899.99</v>
      </c>
      <c r="I11" s="17">
        <f t="shared" si="0"/>
        <v>23899.99</v>
      </c>
    </row>
    <row r="12" spans="1:9" x14ac:dyDescent="0.25">
      <c r="A12" s="39"/>
      <c r="B12" s="36"/>
      <c r="C12" s="37"/>
      <c r="D12" s="37"/>
      <c r="E12" s="38"/>
      <c r="F12" s="38"/>
      <c r="G12" s="5" t="s">
        <v>125</v>
      </c>
      <c r="H12" s="16">
        <v>14900</v>
      </c>
      <c r="I12" s="17">
        <f t="shared" si="0"/>
        <v>14900</v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7422.1488883243592</v>
      </c>
      <c r="B20" s="8">
        <f>COUNT(H3:H17)</f>
        <v>10</v>
      </c>
      <c r="C20" s="9">
        <f>IF(B20&lt;2,"n/a",(A20/D20))</f>
        <v>0.4175799129257215</v>
      </c>
      <c r="D20" s="10">
        <f>IFERROR(ROUND(AVERAGE(H3:H17),2),"")</f>
        <v>17774.2</v>
      </c>
      <c r="E20" s="15">
        <f>IFERROR(ROUND(IF(B20&lt;2,"n/a",(IF(C20&lt;=25%,"n/a",AVERAGE(I3:I17)))),2),"n/a")</f>
        <v>14717.87</v>
      </c>
      <c r="F20" s="10">
        <f>IFERROR(ROUND(MEDIAN(H3:H17),2),"")</f>
        <v>14850</v>
      </c>
      <c r="G20" s="11" t="str">
        <f>IFERROR(INDEX(G3:G17,MATCH(H20,H3:H17,0)),"")</f>
        <v>D.W.L. COMÉRCIO E SERVIÇOS DE INFORMÁTICA LTDA</v>
      </c>
      <c r="H20" s="12">
        <f>F3</f>
        <v>10020</v>
      </c>
    </row>
    <row r="22" spans="1:9" x14ac:dyDescent="0.25">
      <c r="G22" s="13" t="s">
        <v>20</v>
      </c>
      <c r="H22" s="14">
        <f>IF(C20&lt;=25%,D20,MIN(E20:F20))</f>
        <v>14717.87</v>
      </c>
    </row>
    <row r="23" spans="1:9" x14ac:dyDescent="0.25">
      <c r="G23" s="13" t="s">
        <v>6</v>
      </c>
      <c r="H23" s="14">
        <f>ROUND(H22,2)*D3</f>
        <v>147178.70000000001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2" sqref="H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4</v>
      </c>
      <c r="B3" s="35" t="s">
        <v>101</v>
      </c>
      <c r="C3" s="37" t="s">
        <v>7</v>
      </c>
      <c r="D3" s="37">
        <v>20</v>
      </c>
      <c r="E3" s="38">
        <f>IF(C20&lt;=25%,D20,MIN(E20:F20))</f>
        <v>1315</v>
      </c>
      <c r="F3" s="38">
        <f>MIN(H3:H17)</f>
        <v>679</v>
      </c>
      <c r="G3" s="5" t="s">
        <v>126</v>
      </c>
      <c r="H3" s="16">
        <v>1186.76</v>
      </c>
      <c r="I3" s="17">
        <f>IF(H3="","",(IF($C$20&lt;25%,"n/a",IF(H3&lt;=($D$20+$A$20),H3,"Descartado"))))</f>
        <v>1186.76</v>
      </c>
    </row>
    <row r="4" spans="1:9" x14ac:dyDescent="0.25">
      <c r="A4" s="39"/>
      <c r="B4" s="36"/>
      <c r="C4" s="37"/>
      <c r="D4" s="37"/>
      <c r="E4" s="38"/>
      <c r="F4" s="38"/>
      <c r="G4" s="5" t="s">
        <v>127</v>
      </c>
      <c r="H4" s="16">
        <v>1149.99</v>
      </c>
      <c r="I4" s="17">
        <f t="shared" ref="I4:I17" si="0">IF(H4="","",(IF($C$20&lt;25%,"n/a",IF(H4&lt;=($D$20+$A$20),H4,"Descartado"))))</f>
        <v>1149.99</v>
      </c>
    </row>
    <row r="5" spans="1:9" x14ac:dyDescent="0.25">
      <c r="A5" s="39"/>
      <c r="B5" s="36"/>
      <c r="C5" s="37"/>
      <c r="D5" s="37"/>
      <c r="E5" s="38"/>
      <c r="F5" s="38"/>
      <c r="G5" s="5" t="s">
        <v>128</v>
      </c>
      <c r="H5" s="16">
        <v>1315</v>
      </c>
      <c r="I5" s="17">
        <f t="shared" si="0"/>
        <v>1315</v>
      </c>
    </row>
    <row r="6" spans="1:9" x14ac:dyDescent="0.25">
      <c r="A6" s="39"/>
      <c r="B6" s="36"/>
      <c r="C6" s="37"/>
      <c r="D6" s="37"/>
      <c r="E6" s="38"/>
      <c r="F6" s="38"/>
      <c r="G6" s="5" t="s">
        <v>129</v>
      </c>
      <c r="H6" s="16">
        <v>904.97</v>
      </c>
      <c r="I6" s="17">
        <f t="shared" si="0"/>
        <v>904.97</v>
      </c>
    </row>
    <row r="7" spans="1:9" x14ac:dyDescent="0.25">
      <c r="A7" s="39"/>
      <c r="B7" s="36"/>
      <c r="C7" s="37"/>
      <c r="D7" s="37"/>
      <c r="E7" s="38"/>
      <c r="F7" s="38"/>
      <c r="G7" s="5" t="s">
        <v>130</v>
      </c>
      <c r="H7" s="16">
        <v>2647.8</v>
      </c>
      <c r="I7" s="17" t="str">
        <f t="shared" si="0"/>
        <v>Descartado</v>
      </c>
    </row>
    <row r="8" spans="1:9" x14ac:dyDescent="0.25">
      <c r="A8" s="39"/>
      <c r="B8" s="36"/>
      <c r="C8" s="37"/>
      <c r="D8" s="37"/>
      <c r="E8" s="38"/>
      <c r="F8" s="38"/>
      <c r="G8" s="5" t="s">
        <v>131</v>
      </c>
      <c r="H8" s="16">
        <v>2934.32</v>
      </c>
      <c r="I8" s="17" t="str">
        <f t="shared" si="0"/>
        <v>Descartado</v>
      </c>
    </row>
    <row r="9" spans="1:9" x14ac:dyDescent="0.25">
      <c r="A9" s="39"/>
      <c r="B9" s="36"/>
      <c r="C9" s="37"/>
      <c r="D9" s="37"/>
      <c r="E9" s="38"/>
      <c r="F9" s="38"/>
      <c r="G9" s="5" t="s">
        <v>132</v>
      </c>
      <c r="H9" s="16">
        <v>1858.98</v>
      </c>
      <c r="I9" s="17">
        <f t="shared" si="0"/>
        <v>1858.98</v>
      </c>
    </row>
    <row r="10" spans="1:9" x14ac:dyDescent="0.25">
      <c r="A10" s="39"/>
      <c r="B10" s="36"/>
      <c r="C10" s="37"/>
      <c r="D10" s="37"/>
      <c r="E10" s="38"/>
      <c r="F10" s="38"/>
      <c r="G10" s="5" t="s">
        <v>133</v>
      </c>
      <c r="H10" s="16">
        <v>2300</v>
      </c>
      <c r="I10" s="17">
        <f t="shared" si="0"/>
        <v>2300</v>
      </c>
    </row>
    <row r="11" spans="1:9" x14ac:dyDescent="0.25">
      <c r="A11" s="39"/>
      <c r="B11" s="36"/>
      <c r="C11" s="37"/>
      <c r="D11" s="37"/>
      <c r="E11" s="38"/>
      <c r="F11" s="38"/>
      <c r="G11" s="5" t="s">
        <v>134</v>
      </c>
      <c r="H11" s="16">
        <v>679</v>
      </c>
      <c r="I11" s="17">
        <f t="shared" si="0"/>
        <v>679</v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805.00041200990211</v>
      </c>
      <c r="B20" s="8">
        <f>COUNT(H3:H17)</f>
        <v>9</v>
      </c>
      <c r="C20" s="9">
        <f>IF(B20&lt;2,"n/a",(A20/D20))</f>
        <v>0.48374812180224758</v>
      </c>
      <c r="D20" s="10">
        <f>IFERROR(ROUND(AVERAGE(H3:H17),2),"")</f>
        <v>1664.09</v>
      </c>
      <c r="E20" s="15">
        <f>IFERROR(ROUND(IF(B20&lt;2,"n/a",(IF(C20&lt;=25%,"n/a",AVERAGE(I3:I17)))),2),"n/a")</f>
        <v>1342.1</v>
      </c>
      <c r="F20" s="10">
        <f>IFERROR(ROUND(MEDIAN(H3:H17),2),"")</f>
        <v>1315</v>
      </c>
      <c r="G20" s="11" t="str">
        <f>IFERROR(INDEX(G3:G17,MATCH(H20,H3:H17,0)),"")</f>
        <v>LAGO COMERCIO E SERVICOS LTDA</v>
      </c>
      <c r="H20" s="12">
        <f>F3</f>
        <v>679</v>
      </c>
    </row>
    <row r="22" spans="1:9" x14ac:dyDescent="0.25">
      <c r="G22" s="13" t="s">
        <v>20</v>
      </c>
      <c r="H22" s="14">
        <f>IF(C20&lt;=25%,D20,MIN(E20:F20))</f>
        <v>1315</v>
      </c>
    </row>
    <row r="23" spans="1:9" x14ac:dyDescent="0.25">
      <c r="G23" s="13" t="s">
        <v>6</v>
      </c>
      <c r="H23" s="14">
        <f>ROUND(H22,2)*D3</f>
        <v>26300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5</v>
      </c>
      <c r="B3" s="35" t="s">
        <v>102</v>
      </c>
      <c r="C3" s="37" t="s">
        <v>7</v>
      </c>
      <c r="D3" s="37">
        <v>4</v>
      </c>
      <c r="E3" s="38">
        <f>IF(C20&lt;=25%,D20,MIN(E20:F20))</f>
        <v>5852.09</v>
      </c>
      <c r="F3" s="38">
        <f>MIN(H3:H17)</f>
        <v>5100</v>
      </c>
      <c r="G3" s="5" t="s">
        <v>135</v>
      </c>
      <c r="H3" s="16">
        <v>5100</v>
      </c>
      <c r="I3" s="17">
        <f>IF(H3="","",(IF($C$20&lt;25%,"n/a",IF(H3&lt;=($D$20+$A$20),H3,"Descartado"))))</f>
        <v>5100</v>
      </c>
    </row>
    <row r="4" spans="1:9" x14ac:dyDescent="0.25">
      <c r="A4" s="39"/>
      <c r="B4" s="36"/>
      <c r="C4" s="37"/>
      <c r="D4" s="37"/>
      <c r="E4" s="38"/>
      <c r="F4" s="38"/>
      <c r="G4" s="5" t="s">
        <v>136</v>
      </c>
      <c r="H4" s="16">
        <v>15994.7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9"/>
      <c r="B5" s="36"/>
      <c r="C5" s="37"/>
      <c r="D5" s="37"/>
      <c r="E5" s="38"/>
      <c r="F5" s="38"/>
      <c r="G5" s="5" t="s">
        <v>50</v>
      </c>
      <c r="H5" s="16">
        <v>5587.78</v>
      </c>
      <c r="I5" s="17">
        <f t="shared" si="0"/>
        <v>5587.78</v>
      </c>
    </row>
    <row r="6" spans="1:9" x14ac:dyDescent="0.25">
      <c r="A6" s="39"/>
      <c r="B6" s="36"/>
      <c r="C6" s="37"/>
      <c r="D6" s="37"/>
      <c r="E6" s="38"/>
      <c r="F6" s="38"/>
      <c r="G6" s="5" t="s">
        <v>147</v>
      </c>
      <c r="H6" s="16">
        <v>6868.5</v>
      </c>
      <c r="I6" s="17">
        <f t="shared" si="0"/>
        <v>6868.5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5125.8476023743342</v>
      </c>
      <c r="B20" s="8">
        <f>COUNT(H3:H17)</f>
        <v>4</v>
      </c>
      <c r="C20" s="9">
        <f>IF(B20&lt;2,"n/a",(A20/D20))</f>
        <v>0.61111115643340996</v>
      </c>
      <c r="D20" s="10">
        <f>IFERROR(ROUND(AVERAGE(H3:H17),2),"")</f>
        <v>8387.75</v>
      </c>
      <c r="E20" s="15">
        <f>IFERROR(ROUND(IF(B20&lt;2,"n/a",(IF(C20&lt;=25%,"n/a",AVERAGE(I3:I17)))),2),"n/a")</f>
        <v>5852.09</v>
      </c>
      <c r="F20" s="10">
        <f>IFERROR(ROUND(MEDIAN(H3:H17),2),"")</f>
        <v>6228.14</v>
      </c>
      <c r="G20" s="11" t="str">
        <f>IFERROR(INDEX(G3:G17,MATCH(H20,H3:H17,0)),"")</f>
        <v>BOREAL BRASIL TECNOLOGIA LTDA</v>
      </c>
      <c r="H20" s="12">
        <f>F3</f>
        <v>5100</v>
      </c>
    </row>
    <row r="22" spans="1:9" x14ac:dyDescent="0.25">
      <c r="G22" s="13" t="s">
        <v>20</v>
      </c>
      <c r="H22" s="14">
        <f>IF(C20&lt;=25%,D20,MIN(E20:F20))</f>
        <v>5852.09</v>
      </c>
    </row>
    <row r="23" spans="1:9" x14ac:dyDescent="0.25">
      <c r="G23" s="13" t="s">
        <v>6</v>
      </c>
      <c r="H23" s="14">
        <f>ROUND(H22,2)*D3</f>
        <v>23408.36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4" sqref="H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6</v>
      </c>
      <c r="B3" s="35" t="s">
        <v>103</v>
      </c>
      <c r="C3" s="37" t="s">
        <v>7</v>
      </c>
      <c r="D3" s="37">
        <v>20</v>
      </c>
      <c r="E3" s="38">
        <f>IF(C20&lt;=25%,D20,MIN(E20:F20))</f>
        <v>130</v>
      </c>
      <c r="F3" s="38">
        <f>MIN(H3:H17)</f>
        <v>58.37</v>
      </c>
      <c r="G3" s="5" t="s">
        <v>137</v>
      </c>
      <c r="H3" s="16">
        <v>130</v>
      </c>
      <c r="I3" s="17">
        <f>IF(H3="","",(IF($C$20&lt;25%,"n/a",IF(H3&lt;=($D$20+$A$20),H3,"Descartado"))))</f>
        <v>130</v>
      </c>
    </row>
    <row r="4" spans="1:9" x14ac:dyDescent="0.25">
      <c r="A4" s="39"/>
      <c r="B4" s="36"/>
      <c r="C4" s="37"/>
      <c r="D4" s="37"/>
      <c r="E4" s="38"/>
      <c r="F4" s="38"/>
      <c r="G4" s="5" t="s">
        <v>138</v>
      </c>
      <c r="H4" s="16">
        <v>159.29300000000001</v>
      </c>
      <c r="I4" s="17">
        <f t="shared" ref="I4:I17" si="0">IF(H4="","",(IF($C$20&lt;25%,"n/a",IF(H4&lt;=($D$20+$A$20),H4,"Descartado"))))</f>
        <v>159.29300000000001</v>
      </c>
    </row>
    <row r="5" spans="1:9" x14ac:dyDescent="0.25">
      <c r="A5" s="39"/>
      <c r="B5" s="36"/>
      <c r="C5" s="37"/>
      <c r="D5" s="37"/>
      <c r="E5" s="38"/>
      <c r="F5" s="38"/>
      <c r="G5" s="5" t="s">
        <v>139</v>
      </c>
      <c r="H5" s="16">
        <v>650</v>
      </c>
      <c r="I5" s="17" t="str">
        <f t="shared" si="0"/>
        <v>Descartado</v>
      </c>
    </row>
    <row r="6" spans="1:9" x14ac:dyDescent="0.25">
      <c r="A6" s="39"/>
      <c r="B6" s="36"/>
      <c r="C6" s="37"/>
      <c r="D6" s="37"/>
      <c r="E6" s="38"/>
      <c r="F6" s="38"/>
      <c r="G6" s="5" t="s">
        <v>140</v>
      </c>
      <c r="H6" s="16">
        <v>105</v>
      </c>
      <c r="I6" s="17">
        <f t="shared" si="0"/>
        <v>105</v>
      </c>
    </row>
    <row r="7" spans="1:9" x14ac:dyDescent="0.25">
      <c r="A7" s="39"/>
      <c r="B7" s="36"/>
      <c r="C7" s="37"/>
      <c r="D7" s="37"/>
      <c r="E7" s="38"/>
      <c r="F7" s="38"/>
      <c r="G7" s="5" t="s">
        <v>141</v>
      </c>
      <c r="H7" s="16">
        <v>239.26</v>
      </c>
      <c r="I7" s="17">
        <f t="shared" si="0"/>
        <v>239.26</v>
      </c>
    </row>
    <row r="8" spans="1:9" x14ac:dyDescent="0.25">
      <c r="A8" s="39"/>
      <c r="B8" s="36"/>
      <c r="C8" s="37"/>
      <c r="D8" s="37"/>
      <c r="E8" s="38"/>
      <c r="F8" s="38"/>
      <c r="G8" s="5" t="s">
        <v>128</v>
      </c>
      <c r="H8" s="16">
        <v>99</v>
      </c>
      <c r="I8" s="17">
        <f t="shared" si="0"/>
        <v>99</v>
      </c>
    </row>
    <row r="9" spans="1:9" x14ac:dyDescent="0.25">
      <c r="A9" s="39"/>
      <c r="B9" s="36"/>
      <c r="C9" s="37"/>
      <c r="D9" s="37"/>
      <c r="E9" s="38"/>
      <c r="F9" s="38"/>
      <c r="G9" s="5" t="s">
        <v>142</v>
      </c>
      <c r="H9" s="16">
        <v>58.37</v>
      </c>
      <c r="I9" s="17">
        <f t="shared" si="0"/>
        <v>58.37</v>
      </c>
    </row>
    <row r="10" spans="1:9" x14ac:dyDescent="0.25">
      <c r="A10" s="39"/>
      <c r="B10" s="36"/>
      <c r="C10" s="37"/>
      <c r="D10" s="37"/>
      <c r="E10" s="38"/>
      <c r="F10" s="38"/>
      <c r="G10" s="5" t="s">
        <v>143</v>
      </c>
      <c r="H10" s="16">
        <v>233.6</v>
      </c>
      <c r="I10" s="17">
        <f t="shared" si="0"/>
        <v>233.6</v>
      </c>
    </row>
    <row r="11" spans="1:9" x14ac:dyDescent="0.25">
      <c r="A11" s="39"/>
      <c r="B11" s="36"/>
      <c r="C11" s="37"/>
      <c r="D11" s="37"/>
      <c r="E11" s="38"/>
      <c r="F11" s="38"/>
      <c r="G11" s="5" t="s">
        <v>144</v>
      </c>
      <c r="H11" s="16">
        <v>115</v>
      </c>
      <c r="I11" s="17">
        <f t="shared" si="0"/>
        <v>115</v>
      </c>
    </row>
    <row r="12" spans="1:9" x14ac:dyDescent="0.25">
      <c r="A12" s="39"/>
      <c r="B12" s="36"/>
      <c r="C12" s="37"/>
      <c r="D12" s="37"/>
      <c r="E12" s="38"/>
      <c r="F12" s="38"/>
      <c r="G12" s="5" t="s">
        <v>145</v>
      </c>
      <c r="H12" s="16">
        <v>107</v>
      </c>
      <c r="I12" s="17">
        <f t="shared" si="0"/>
        <v>107</v>
      </c>
    </row>
    <row r="13" spans="1:9" x14ac:dyDescent="0.25">
      <c r="A13" s="39"/>
      <c r="B13" s="36"/>
      <c r="C13" s="37"/>
      <c r="D13" s="37"/>
      <c r="E13" s="38"/>
      <c r="F13" s="38"/>
      <c r="G13" s="5" t="s">
        <v>146</v>
      </c>
      <c r="H13" s="16">
        <v>240</v>
      </c>
      <c r="I13" s="17">
        <f t="shared" si="0"/>
        <v>240</v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163.74373931987304</v>
      </c>
      <c r="B20" s="8">
        <f>COUNT(H3:H17)</f>
        <v>11</v>
      </c>
      <c r="C20" s="9">
        <f>IF(B20&lt;2,"n/a",(A20/D20))</f>
        <v>0.84304041249998996</v>
      </c>
      <c r="D20" s="10">
        <f>IFERROR(ROUND(AVERAGE(H3:H17),2),"")</f>
        <v>194.23</v>
      </c>
      <c r="E20" s="15">
        <f>IFERROR(ROUND(IF(B20&lt;2,"n/a",(IF(C20&lt;=25%,"n/a",AVERAGE(I3:I17)))),2),"n/a")</f>
        <v>148.65</v>
      </c>
      <c r="F20" s="10">
        <f>IFERROR(ROUND(MEDIAN(H3:H17),2),"")</f>
        <v>130</v>
      </c>
      <c r="G20" s="11" t="str">
        <f>IFERROR(INDEX(G3:G17,MATCH(H20,H3:H17,0)),"")</f>
        <v>COMPUSET INFORMATICA LTDA</v>
      </c>
      <c r="H20" s="12">
        <f>F3</f>
        <v>58.37</v>
      </c>
    </row>
    <row r="22" spans="1:9" x14ac:dyDescent="0.25">
      <c r="G22" s="13" t="s">
        <v>20</v>
      </c>
      <c r="H22" s="14">
        <f>IF(C20&lt;=25%,D20,MIN(E20:F20))</f>
        <v>130</v>
      </c>
    </row>
    <row r="23" spans="1:9" x14ac:dyDescent="0.25">
      <c r="G23" s="13" t="s">
        <v>6</v>
      </c>
      <c r="H23" s="14">
        <f>ROUND(H22,2)*D3</f>
        <v>2600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7</v>
      </c>
      <c r="B3" s="35" t="s">
        <v>104</v>
      </c>
      <c r="C3" s="37" t="s">
        <v>7</v>
      </c>
      <c r="D3" s="37">
        <v>20</v>
      </c>
      <c r="E3" s="38">
        <f>IF(C20&lt;=25%,D20,MIN(E20:F20))</f>
        <v>859.81</v>
      </c>
      <c r="F3" s="38">
        <f>MIN(H3:H17)</f>
        <v>558.6</v>
      </c>
      <c r="G3" s="5" t="s">
        <v>148</v>
      </c>
      <c r="H3" s="16">
        <v>558.6</v>
      </c>
      <c r="I3" s="17">
        <f>IF(H3="","",(IF($C$20&lt;25%,"n/a",IF(H3&lt;=($D$20+$A$20),H3,"Descartado"))))</f>
        <v>558.6</v>
      </c>
    </row>
    <row r="4" spans="1:9" x14ac:dyDescent="0.25">
      <c r="A4" s="39"/>
      <c r="B4" s="36"/>
      <c r="C4" s="37"/>
      <c r="D4" s="37"/>
      <c r="E4" s="38"/>
      <c r="F4" s="38"/>
      <c r="G4" s="5" t="s">
        <v>149</v>
      </c>
      <c r="H4" s="16">
        <v>997.9</v>
      </c>
      <c r="I4" s="17">
        <f t="shared" ref="I4:I17" si="0">IF(H4="","",(IF($C$20&lt;25%,"n/a",IF(H4&lt;=($D$20+$A$20),H4,"Descartado"))))</f>
        <v>997.9</v>
      </c>
    </row>
    <row r="5" spans="1:9" x14ac:dyDescent="0.25">
      <c r="A5" s="39"/>
      <c r="B5" s="36"/>
      <c r="C5" s="37"/>
      <c r="D5" s="37"/>
      <c r="E5" s="38"/>
      <c r="F5" s="38"/>
      <c r="G5" s="5" t="s">
        <v>150</v>
      </c>
      <c r="H5" s="16">
        <v>783.75</v>
      </c>
      <c r="I5" s="17">
        <f t="shared" si="0"/>
        <v>783.75</v>
      </c>
    </row>
    <row r="6" spans="1:9" x14ac:dyDescent="0.25">
      <c r="A6" s="39"/>
      <c r="B6" s="36"/>
      <c r="C6" s="37"/>
      <c r="D6" s="37"/>
      <c r="E6" s="38"/>
      <c r="F6" s="38"/>
      <c r="G6" s="5" t="s">
        <v>151</v>
      </c>
      <c r="H6" s="16">
        <v>1099</v>
      </c>
      <c r="I6" s="17">
        <f t="shared" si="0"/>
        <v>1099</v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>
        <f>IF(B20&lt;2,"n/a",(_xlfn.STDEV.S(H3:H17)))</f>
        <v>239.99534153465015</v>
      </c>
      <c r="B20" s="8">
        <f>COUNT(H3:H17)</f>
        <v>4</v>
      </c>
      <c r="C20" s="9">
        <f>IF(B20&lt;2,"n/a",(A20/D20))</f>
        <v>0.27912601799775549</v>
      </c>
      <c r="D20" s="10">
        <f>IFERROR(ROUND(AVERAGE(H3:H17),2),"")</f>
        <v>859.81</v>
      </c>
      <c r="E20" s="15">
        <f>IFERROR(ROUND(IF(B20&lt;2,"n/a",(IF(C20&lt;=25%,"n/a",AVERAGE(I3:I17)))),2),"n/a")</f>
        <v>859.81</v>
      </c>
      <c r="F20" s="10">
        <f>IFERROR(ROUND(MEDIAN(H3:H17),2),"")</f>
        <v>890.83</v>
      </c>
      <c r="G20" s="11" t="str">
        <f>IFERROR(INDEX(G3:G17,MATCH(H20,H3:H17,0)),"")</f>
        <v>AMAZON</v>
      </c>
      <c r="H20" s="12">
        <f>F3</f>
        <v>558.6</v>
      </c>
    </row>
    <row r="22" spans="1:9" x14ac:dyDescent="0.25">
      <c r="G22" s="13" t="s">
        <v>20</v>
      </c>
      <c r="H22" s="14">
        <f>IF(C20&lt;=25%,D20,MIN(E20:F20))</f>
        <v>859.81</v>
      </c>
    </row>
    <row r="23" spans="1:9" x14ac:dyDescent="0.25">
      <c r="G23" s="13" t="s">
        <v>6</v>
      </c>
      <c r="H23" s="14">
        <f>ROUND(H22,2)*D3</f>
        <v>17196.199999999997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8</v>
      </c>
      <c r="B3" s="35" t="s">
        <v>105</v>
      </c>
      <c r="C3" s="37" t="s">
        <v>7</v>
      </c>
      <c r="D3" s="37">
        <v>2</v>
      </c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4" t="s">
        <v>8</v>
      </c>
      <c r="B1" s="34"/>
      <c r="C1" s="34"/>
      <c r="D1" s="34"/>
      <c r="E1" s="34"/>
      <c r="F1" s="34"/>
      <c r="G1" s="34"/>
      <c r="H1" s="34"/>
      <c r="I1" s="34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9">
        <v>9</v>
      </c>
      <c r="B3" s="35"/>
      <c r="C3" s="37" t="s">
        <v>7</v>
      </c>
      <c r="D3" s="37"/>
      <c r="E3" s="38">
        <f>IF(C20&lt;=25%,D20,MIN(E20:F20))</f>
        <v>0</v>
      </c>
      <c r="F3" s="38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9"/>
      <c r="B4" s="36"/>
      <c r="C4" s="37"/>
      <c r="D4" s="37"/>
      <c r="E4" s="38"/>
      <c r="F4" s="38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9"/>
      <c r="B5" s="36"/>
      <c r="C5" s="37"/>
      <c r="D5" s="37"/>
      <c r="E5" s="38"/>
      <c r="F5" s="38"/>
      <c r="G5" s="5"/>
      <c r="H5" s="16"/>
      <c r="I5" s="17" t="str">
        <f t="shared" si="0"/>
        <v/>
      </c>
    </row>
    <row r="6" spans="1:9" x14ac:dyDescent="0.25">
      <c r="A6" s="39"/>
      <c r="B6" s="36"/>
      <c r="C6" s="37"/>
      <c r="D6" s="37"/>
      <c r="E6" s="38"/>
      <c r="F6" s="38"/>
      <c r="G6" s="5"/>
      <c r="H6" s="16"/>
      <c r="I6" s="17" t="str">
        <f t="shared" si="0"/>
        <v/>
      </c>
    </row>
    <row r="7" spans="1:9" x14ac:dyDescent="0.25">
      <c r="A7" s="39"/>
      <c r="B7" s="36"/>
      <c r="C7" s="37"/>
      <c r="D7" s="37"/>
      <c r="E7" s="38"/>
      <c r="F7" s="38"/>
      <c r="G7" s="5"/>
      <c r="H7" s="16"/>
      <c r="I7" s="17" t="str">
        <f t="shared" si="0"/>
        <v/>
      </c>
    </row>
    <row r="8" spans="1:9" x14ac:dyDescent="0.25">
      <c r="A8" s="39"/>
      <c r="B8" s="36"/>
      <c r="C8" s="37"/>
      <c r="D8" s="37"/>
      <c r="E8" s="38"/>
      <c r="F8" s="38"/>
      <c r="G8" s="5"/>
      <c r="H8" s="16"/>
      <c r="I8" s="17" t="str">
        <f t="shared" si="0"/>
        <v/>
      </c>
    </row>
    <row r="9" spans="1:9" x14ac:dyDescent="0.25">
      <c r="A9" s="39"/>
      <c r="B9" s="36"/>
      <c r="C9" s="37"/>
      <c r="D9" s="37"/>
      <c r="E9" s="38"/>
      <c r="F9" s="38"/>
      <c r="G9" s="5"/>
      <c r="H9" s="16"/>
      <c r="I9" s="17" t="str">
        <f t="shared" si="0"/>
        <v/>
      </c>
    </row>
    <row r="10" spans="1:9" x14ac:dyDescent="0.25">
      <c r="A10" s="39"/>
      <c r="B10" s="36"/>
      <c r="C10" s="37"/>
      <c r="D10" s="37"/>
      <c r="E10" s="38"/>
      <c r="F10" s="38"/>
      <c r="G10" s="5"/>
      <c r="H10" s="16"/>
      <c r="I10" s="17" t="str">
        <f t="shared" si="0"/>
        <v/>
      </c>
    </row>
    <row r="11" spans="1:9" x14ac:dyDescent="0.25">
      <c r="A11" s="39"/>
      <c r="B11" s="36"/>
      <c r="C11" s="37"/>
      <c r="D11" s="37"/>
      <c r="E11" s="38"/>
      <c r="F11" s="38"/>
      <c r="G11" s="5"/>
      <c r="H11" s="16"/>
      <c r="I11" s="17" t="str">
        <f t="shared" si="0"/>
        <v/>
      </c>
    </row>
    <row r="12" spans="1:9" x14ac:dyDescent="0.25">
      <c r="A12" s="39"/>
      <c r="B12" s="36"/>
      <c r="C12" s="37"/>
      <c r="D12" s="37"/>
      <c r="E12" s="38"/>
      <c r="F12" s="38"/>
      <c r="G12" s="5"/>
      <c r="H12" s="16"/>
      <c r="I12" s="17" t="str">
        <f t="shared" si="0"/>
        <v/>
      </c>
    </row>
    <row r="13" spans="1:9" x14ac:dyDescent="0.25">
      <c r="A13" s="39"/>
      <c r="B13" s="36"/>
      <c r="C13" s="37"/>
      <c r="D13" s="37"/>
      <c r="E13" s="38"/>
      <c r="F13" s="38"/>
      <c r="G13" s="5"/>
      <c r="H13" s="16"/>
      <c r="I13" s="17" t="str">
        <f t="shared" si="0"/>
        <v/>
      </c>
    </row>
    <row r="14" spans="1:9" x14ac:dyDescent="0.25">
      <c r="A14" s="39"/>
      <c r="B14" s="36"/>
      <c r="C14" s="37"/>
      <c r="D14" s="37"/>
      <c r="E14" s="38"/>
      <c r="F14" s="38"/>
      <c r="G14" s="5"/>
      <c r="H14" s="16"/>
      <c r="I14" s="17" t="str">
        <f t="shared" si="0"/>
        <v/>
      </c>
    </row>
    <row r="15" spans="1:9" x14ac:dyDescent="0.25">
      <c r="A15" s="39"/>
      <c r="B15" s="36"/>
      <c r="C15" s="37"/>
      <c r="D15" s="37"/>
      <c r="E15" s="38"/>
      <c r="F15" s="38"/>
      <c r="G15" s="5"/>
      <c r="H15" s="16"/>
      <c r="I15" s="17" t="str">
        <f t="shared" si="0"/>
        <v/>
      </c>
    </row>
    <row r="16" spans="1:9" x14ac:dyDescent="0.25">
      <c r="A16" s="39"/>
      <c r="B16" s="36"/>
      <c r="C16" s="37"/>
      <c r="D16" s="37"/>
      <c r="E16" s="38"/>
      <c r="F16" s="38"/>
      <c r="G16" s="5"/>
      <c r="H16" s="16"/>
      <c r="I16" s="17" t="str">
        <f t="shared" si="0"/>
        <v/>
      </c>
    </row>
    <row r="17" spans="1:9" x14ac:dyDescent="0.25">
      <c r="A17" s="39"/>
      <c r="B17" s="36"/>
      <c r="C17" s="37"/>
      <c r="D17" s="37"/>
      <c r="E17" s="38"/>
      <c r="F17" s="38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3" t="s">
        <v>19</v>
      </c>
      <c r="H19" s="33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2</vt:i4>
      </vt:variant>
    </vt:vector>
  </HeadingPairs>
  <TitlesOfParts>
    <vt:vector size="3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2024-07-31T12:54:48Z</cp:lastPrinted>
  <dcterms:created xsi:type="dcterms:W3CDTF">2023-11-07T17:10:34Z</dcterms:created>
  <dcterms:modified xsi:type="dcterms:W3CDTF">2024-07-31T13:11:48Z</dcterms:modified>
</cp:coreProperties>
</file>